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<sst xmlns="http://schemas.openxmlformats.org/spreadsheetml/2006/main" count="1478" uniqueCount="307">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</sst>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474445.56</v>
      </c>
      <c r="G8" s="18">
        <f aca="true" t="shared" si="0" ref="G8:G54">F8-E8</f>
        <v>15693.059999999998</v>
      </c>
      <c r="H8" s="45">
        <f>F8/E8*100</f>
        <v>103.42081187568459</v>
      </c>
      <c r="I8" s="31">
        <f aca="true" t="shared" si="1" ref="I8:I54">F8-D8</f>
        <v>-97843.44</v>
      </c>
      <c r="J8" s="31">
        <f aca="true" t="shared" si="2" ref="J8:J14">F8/D8*100</f>
        <v>82.90314159454401</v>
      </c>
      <c r="K8" s="18">
        <f>K9+K15+K18+K19+K20+K32</f>
        <v>115461.71600000003</v>
      </c>
      <c r="L8" s="18"/>
      <c r="M8" s="18">
        <f>M9+M15+M18+M19+M20+M32+M17</f>
        <v>45676.399999999994</v>
      </c>
      <c r="N8" s="18">
        <f>N9+N15+N18+N19+N20+N32+N17</f>
        <v>44933.450000000004</v>
      </c>
      <c r="O8" s="31">
        <f aca="true" t="shared" si="3" ref="O8:O54">N8-M8</f>
        <v>-742.9499999999898</v>
      </c>
      <c r="P8" s="31">
        <f>F8/M8*100</f>
        <v>1038.7104938217549</v>
      </c>
      <c r="Q8" s="31">
        <f>N8-33748.16</f>
        <v>11185.29</v>
      </c>
      <c r="R8" s="125">
        <f>N8/33748.16</f>
        <v>1.3314340692944444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261159.2</v>
      </c>
      <c r="G9" s="43">
        <f t="shared" si="0"/>
        <v>12544.650000000023</v>
      </c>
      <c r="H9" s="35">
        <f aca="true" t="shared" si="4" ref="H9:H32">F9/E9*100</f>
        <v>105.04582294157765</v>
      </c>
      <c r="I9" s="50">
        <f t="shared" si="1"/>
        <v>-51530.79999999999</v>
      </c>
      <c r="J9" s="50">
        <f t="shared" si="2"/>
        <v>83.52016374044581</v>
      </c>
      <c r="K9" s="132">
        <f>F9-282613.68/75*60</f>
        <v>35068.25600000002</v>
      </c>
      <c r="L9" s="132">
        <f>F9/(282613.68/75*60)*100</f>
        <v>115.51068582384265</v>
      </c>
      <c r="M9" s="35">
        <f>E9-серпень!E9</f>
        <v>26089.899999999994</v>
      </c>
      <c r="N9" s="35">
        <f>F9-серпень!F9</f>
        <v>27448.190000000002</v>
      </c>
      <c r="O9" s="47">
        <f t="shared" si="3"/>
        <v>1358.2900000000081</v>
      </c>
      <c r="P9" s="50">
        <f aca="true" t="shared" si="5" ref="P9:P32">N9/M9*100</f>
        <v>105.20619090145999</v>
      </c>
      <c r="Q9" s="132">
        <f>N9-26568.11</f>
        <v>880.0800000000017</v>
      </c>
      <c r="R9" s="133">
        <f>N9/26568.11</f>
        <v>1.0331254274391366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230793.73</v>
      </c>
      <c r="G10" s="135">
        <f t="shared" si="0"/>
        <v>12303.48000000001</v>
      </c>
      <c r="H10" s="137">
        <f t="shared" si="4"/>
        <v>105.63113457007806</v>
      </c>
      <c r="I10" s="136">
        <f t="shared" si="1"/>
        <v>-9616.26999999999</v>
      </c>
      <c r="J10" s="136">
        <f t="shared" si="2"/>
        <v>96.00005407428976</v>
      </c>
      <c r="K10" s="138">
        <f>F10-251377.17/75*60</f>
        <v>29691.994000000006</v>
      </c>
      <c r="L10" s="138">
        <f>F10/(251377.17/75*60)*100</f>
        <v>114.76466319515015</v>
      </c>
      <c r="M10" s="137">
        <f>E10-серпень!E10</f>
        <v>22490</v>
      </c>
      <c r="N10" s="137">
        <f>F10-серпень!F10</f>
        <v>24175.52000000002</v>
      </c>
      <c r="O10" s="138">
        <f t="shared" si="3"/>
        <v>1685.5200000000186</v>
      </c>
      <c r="P10" s="136">
        <f t="shared" si="5"/>
        <v>107.49453090262347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13988.04</v>
      </c>
      <c r="G11" s="135">
        <f t="shared" si="0"/>
        <v>-2799.8600000000006</v>
      </c>
      <c r="H11" s="137">
        <f t="shared" si="4"/>
        <v>83.32215464709701</v>
      </c>
      <c r="I11" s="136">
        <f t="shared" si="1"/>
        <v>-9711.96</v>
      </c>
      <c r="J11" s="136">
        <f t="shared" si="2"/>
        <v>59.02126582278482</v>
      </c>
      <c r="K11" s="138">
        <f>F11-18550.28/75*60</f>
        <v>-852.1839999999993</v>
      </c>
      <c r="L11" s="138">
        <f>F11/(18550.28/75*60)*100</f>
        <v>94.25760689326523</v>
      </c>
      <c r="M11" s="137">
        <f>E11-серпень!E11</f>
        <v>2099.9000000000015</v>
      </c>
      <c r="N11" s="137">
        <f>F11-серпень!F11</f>
        <v>1579.4800000000014</v>
      </c>
      <c r="O11" s="138">
        <f t="shared" si="3"/>
        <v>-520.4200000000001</v>
      </c>
      <c r="P11" s="136">
        <f t="shared" si="5"/>
        <v>75.21691509119483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3732.1</v>
      </c>
      <c r="G12" s="135">
        <f t="shared" si="0"/>
        <v>-176.9000000000001</v>
      </c>
      <c r="H12" s="137">
        <f t="shared" si="4"/>
        <v>95.47454591967255</v>
      </c>
      <c r="I12" s="136">
        <f t="shared" si="1"/>
        <v>-2067.9</v>
      </c>
      <c r="J12" s="136">
        <f t="shared" si="2"/>
        <v>64.34655172413794</v>
      </c>
      <c r="K12" s="138">
        <f>F12-5298.15/75*60</f>
        <v>-506.4199999999996</v>
      </c>
      <c r="L12" s="138">
        <f>F12/(5298.15*60)*100</f>
        <v>1.1740261537832388</v>
      </c>
      <c r="M12" s="137">
        <f>E12-серпень!E12</f>
        <v>660</v>
      </c>
      <c r="N12" s="137">
        <f>F12-серпень!F12</f>
        <v>400.7399999999998</v>
      </c>
      <c r="O12" s="138">
        <f t="shared" si="3"/>
        <v>-259.2600000000002</v>
      </c>
      <c r="P12" s="136">
        <f t="shared" si="5"/>
        <v>60.71818181818178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5683.97</v>
      </c>
      <c r="G13" s="135">
        <f t="shared" si="0"/>
        <v>-539.4299999999994</v>
      </c>
      <c r="H13" s="137">
        <f t="shared" si="4"/>
        <v>91.33222997075553</v>
      </c>
      <c r="I13" s="136">
        <f t="shared" si="1"/>
        <v>-2716.0299999999997</v>
      </c>
      <c r="J13" s="136">
        <f t="shared" si="2"/>
        <v>67.66630952380953</v>
      </c>
      <c r="K13" s="138">
        <f>F13-7303.25/75*60</f>
        <v>-158.6300000000001</v>
      </c>
      <c r="L13" s="138">
        <f>F13/(7303.25/75*60)*100</f>
        <v>97.28494163557319</v>
      </c>
      <c r="M13" s="137">
        <f>E13-серпень!E13</f>
        <v>450</v>
      </c>
      <c r="N13" s="137">
        <f>F13-серпень!F13</f>
        <v>707.2400000000007</v>
      </c>
      <c r="O13" s="138">
        <f t="shared" si="3"/>
        <v>257.2400000000007</v>
      </c>
      <c r="P13" s="136">
        <f t="shared" si="5"/>
        <v>157.1644444444446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49848.51</v>
      </c>
      <c r="G19" s="43">
        <f t="shared" si="0"/>
        <v>-874.239999999998</v>
      </c>
      <c r="H19" s="35">
        <f t="shared" si="4"/>
        <v>98.27643414444209</v>
      </c>
      <c r="I19" s="50">
        <f t="shared" si="1"/>
        <v>-12361.489999999998</v>
      </c>
      <c r="J19" s="178">
        <f>F19/D19*100</f>
        <v>80.12941649252532</v>
      </c>
      <c r="K19" s="179">
        <f>F19-0</f>
        <v>49848.51</v>
      </c>
      <c r="L19" s="180"/>
      <c r="M19" s="35">
        <f>E19-серпень!E19</f>
        <v>6800</v>
      </c>
      <c r="N19" s="35">
        <f>F19-серпень!F19</f>
        <v>5970.8499999999985</v>
      </c>
      <c r="O19" s="47">
        <f t="shared" si="3"/>
        <v>-829.1500000000015</v>
      </c>
      <c r="P19" s="50">
        <f t="shared" si="5"/>
        <v>87.8066176470588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158509.63999999998</v>
      </c>
      <c r="G20" s="43">
        <f t="shared" si="0"/>
        <v>5031.239999999991</v>
      </c>
      <c r="H20" s="35">
        <f t="shared" si="4"/>
        <v>103.27814207080606</v>
      </c>
      <c r="I20" s="50">
        <f t="shared" si="1"/>
        <v>-31360.360000000015</v>
      </c>
      <c r="J20" s="178">
        <f aca="true" t="shared" si="6" ref="J20:J46">F20/D20*100</f>
        <v>83.4832464317691</v>
      </c>
      <c r="K20" s="178">
        <f>K21+K25+K26+K27</f>
        <v>32584.550000000003</v>
      </c>
      <c r="L20" s="136"/>
      <c r="M20" s="35">
        <f>E20-серпень!E20</f>
        <v>12786.100000000006</v>
      </c>
      <c r="N20" s="35">
        <f>F20-серпень!F20</f>
        <v>11441.470000000001</v>
      </c>
      <c r="O20" s="47">
        <f t="shared" si="3"/>
        <v>-1344.6300000000047</v>
      </c>
      <c r="P20" s="50">
        <f t="shared" si="5"/>
        <v>89.48365803489725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87567.5</v>
      </c>
      <c r="G21" s="43">
        <f t="shared" si="0"/>
        <v>1667.1000000000058</v>
      </c>
      <c r="H21" s="35">
        <f t="shared" si="4"/>
        <v>101.940736015199</v>
      </c>
      <c r="I21" s="50">
        <f t="shared" si="1"/>
        <v>-22732.5</v>
      </c>
      <c r="J21" s="178">
        <f t="shared" si="6"/>
        <v>79.39029918404353</v>
      </c>
      <c r="K21" s="178">
        <f>K22+K23+K24</f>
        <v>26020.89</v>
      </c>
      <c r="L21" s="136"/>
      <c r="M21" s="35">
        <f>E21-серпень!E21</f>
        <v>8720.099999999991</v>
      </c>
      <c r="N21" s="35">
        <f>F21-серпень!F21</f>
        <v>7768.619999999995</v>
      </c>
      <c r="O21" s="47">
        <f t="shared" si="3"/>
        <v>-951.4799999999959</v>
      </c>
      <c r="P21" s="50">
        <f t="shared" si="5"/>
        <v>89.0886572401693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9087.06</v>
      </c>
      <c r="G22" s="135">
        <f t="shared" si="0"/>
        <v>292.65999999999985</v>
      </c>
      <c r="H22" s="137">
        <f t="shared" si="4"/>
        <v>103.32779950877831</v>
      </c>
      <c r="I22" s="136">
        <f t="shared" si="1"/>
        <v>-1612.9400000000005</v>
      </c>
      <c r="J22" s="136">
        <f t="shared" si="6"/>
        <v>84.92579439252336</v>
      </c>
      <c r="K22" s="136">
        <f>F22-314.15</f>
        <v>8772.91</v>
      </c>
      <c r="L22" s="136">
        <f>F22/314.15*100</f>
        <v>2892.586344103135</v>
      </c>
      <c r="M22" s="137">
        <f>E22-серпень!E22</f>
        <v>171.10000000000036</v>
      </c>
      <c r="N22" s="137">
        <f>F22-серпень!F22</f>
        <v>413.3199999999997</v>
      </c>
      <c r="O22" s="138">
        <f t="shared" si="3"/>
        <v>242.21999999999935</v>
      </c>
      <c r="P22" s="136">
        <f t="shared" si="5"/>
        <v>241.56633547632893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3321.13</v>
      </c>
      <c r="G23" s="135">
        <f t="shared" si="0"/>
        <v>1534.13</v>
      </c>
      <c r="H23" s="137"/>
      <c r="I23" s="136">
        <f t="shared" si="1"/>
        <v>1221.13</v>
      </c>
      <c r="J23" s="136">
        <f t="shared" si="6"/>
        <v>158.14904761904762</v>
      </c>
      <c r="K23" s="136">
        <f>F23-0</f>
        <v>3321.13</v>
      </c>
      <c r="L23" s="136"/>
      <c r="M23" s="137">
        <f>E23-серпень!E23</f>
        <v>309</v>
      </c>
      <c r="N23" s="137">
        <f>F23-серпень!F23</f>
        <v>204.1800000000003</v>
      </c>
      <c r="O23" s="138">
        <f t="shared" si="3"/>
        <v>-104.81999999999971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75159.31</v>
      </c>
      <c r="G24" s="135">
        <f t="shared" si="0"/>
        <v>-159.69000000000233</v>
      </c>
      <c r="H24" s="137">
        <f t="shared" si="4"/>
        <v>99.78798178414476</v>
      </c>
      <c r="I24" s="136">
        <f t="shared" si="1"/>
        <v>-22340.690000000002</v>
      </c>
      <c r="J24" s="136">
        <f t="shared" si="6"/>
        <v>77.0864717948718</v>
      </c>
      <c r="K24" s="224">
        <f>F24-61232.46</f>
        <v>13926.849999999999</v>
      </c>
      <c r="L24" s="224">
        <f>F24/61232.46*100</f>
        <v>122.74422748979872</v>
      </c>
      <c r="M24" s="137">
        <f>E24-серпень!E24</f>
        <v>8240</v>
      </c>
      <c r="N24" s="137">
        <f>F24-серпень!F24</f>
        <v>7151.119999999995</v>
      </c>
      <c r="O24" s="138">
        <f t="shared" si="3"/>
        <v>-1088.8800000000047</v>
      </c>
      <c r="P24" s="136">
        <f t="shared" si="5"/>
        <v>86.78543689320382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54.85</v>
      </c>
      <c r="G25" s="43">
        <f t="shared" si="0"/>
        <v>13.350000000000001</v>
      </c>
      <c r="H25" s="35">
        <f t="shared" si="4"/>
        <v>132.16867469879517</v>
      </c>
      <c r="I25" s="50">
        <f t="shared" si="1"/>
        <v>-15.149999999999999</v>
      </c>
      <c r="J25" s="178">
        <f t="shared" si="6"/>
        <v>78.35714285714286</v>
      </c>
      <c r="K25" s="178">
        <f>F25-44.08</f>
        <v>10.770000000000003</v>
      </c>
      <c r="L25" s="178">
        <f>F25/44.08*100</f>
        <v>124.43284936479128</v>
      </c>
      <c r="M25" s="35">
        <f>E25-серпень!E25</f>
        <v>6</v>
      </c>
      <c r="N25" s="35">
        <f>F25-серпень!F25</f>
        <v>6</v>
      </c>
      <c r="O25" s="47">
        <f t="shared" si="3"/>
        <v>0</v>
      </c>
      <c r="P25" s="50">
        <f t="shared" si="5"/>
        <v>100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71593.27</v>
      </c>
      <c r="G27" s="43">
        <f t="shared" si="0"/>
        <v>4056.770000000004</v>
      </c>
      <c r="H27" s="35">
        <f t="shared" si="4"/>
        <v>106.00678151814205</v>
      </c>
      <c r="I27" s="50">
        <f t="shared" si="1"/>
        <v>-7906.729999999996</v>
      </c>
      <c r="J27" s="178">
        <f t="shared" si="6"/>
        <v>90.05442767295598</v>
      </c>
      <c r="K27" s="132">
        <f>F27-59536.46</f>
        <v>12056.810000000005</v>
      </c>
      <c r="L27" s="132">
        <f>F27/59536.46*100</f>
        <v>120.25113686638407</v>
      </c>
      <c r="M27" s="35">
        <f>E27-серпень!E27</f>
        <v>4060</v>
      </c>
      <c r="N27" s="35">
        <f>F27-серпень!F27</f>
        <v>3758.2600000000093</v>
      </c>
      <c r="O27" s="47">
        <f t="shared" si="3"/>
        <v>-301.7399999999907</v>
      </c>
      <c r="P27" s="50">
        <f t="shared" si="5"/>
        <v>92.56798029556673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17608.58</v>
      </c>
      <c r="G29" s="135">
        <f t="shared" si="0"/>
        <v>828.5800000000017</v>
      </c>
      <c r="H29" s="137">
        <f t="shared" si="4"/>
        <v>104.93790226460074</v>
      </c>
      <c r="I29" s="136">
        <f t="shared" si="1"/>
        <v>-1591.4199999999983</v>
      </c>
      <c r="J29" s="136">
        <f t="shared" si="6"/>
        <v>91.71135416666668</v>
      </c>
      <c r="K29" s="139">
        <f>F29-16472.46</f>
        <v>1136.1200000000026</v>
      </c>
      <c r="L29" s="139">
        <f>F29/16472.46*100</f>
        <v>106.8970876238279</v>
      </c>
      <c r="M29" s="137">
        <f>E29-серпень!E29</f>
        <v>1200</v>
      </c>
      <c r="N29" s="137">
        <f>F29-серпень!F29</f>
        <v>677.25</v>
      </c>
      <c r="O29" s="138">
        <f t="shared" si="3"/>
        <v>-522.75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53963.02</v>
      </c>
      <c r="G30" s="135">
        <f t="shared" si="0"/>
        <v>3206.519999999997</v>
      </c>
      <c r="H30" s="137">
        <f t="shared" si="4"/>
        <v>106.31745687744427</v>
      </c>
      <c r="I30" s="136">
        <f t="shared" si="1"/>
        <v>-6336.980000000003</v>
      </c>
      <c r="J30" s="136">
        <f t="shared" si="6"/>
        <v>89.49091210613598</v>
      </c>
      <c r="K30" s="139">
        <f>F30-43062.79</f>
        <v>10900.229999999996</v>
      </c>
      <c r="L30" s="139">
        <f>F30/43062.79*100</f>
        <v>125.31241008768824</v>
      </c>
      <c r="M30" s="137">
        <f>E30-серпень!E30</f>
        <v>2860</v>
      </c>
      <c r="N30" s="137">
        <f>F30-серпень!F30</f>
        <v>3074.949999999997</v>
      </c>
      <c r="O30" s="138">
        <f t="shared" si="3"/>
        <v>214.9499999999971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5579.01</v>
      </c>
      <c r="G32" s="43">
        <f t="shared" si="0"/>
        <v>-173.38999999999942</v>
      </c>
      <c r="H32" s="35">
        <f t="shared" si="4"/>
        <v>96.98577984841111</v>
      </c>
      <c r="I32" s="50">
        <f t="shared" si="1"/>
        <v>-1920.9899999999998</v>
      </c>
      <c r="J32" s="178">
        <f t="shared" si="6"/>
        <v>74.3868</v>
      </c>
      <c r="K32" s="178">
        <f>F32-7368.88</f>
        <v>-1789.87</v>
      </c>
      <c r="L32" s="178">
        <f>F32/7368.88*100</f>
        <v>75.71042003669486</v>
      </c>
      <c r="M32" s="35">
        <f>E32-серпень!E32</f>
        <v>0.2999999999992724</v>
      </c>
      <c r="N32" s="35">
        <f>F32-серпень!F32</f>
        <v>5.050000000000182</v>
      </c>
      <c r="O32" s="47">
        <f t="shared" si="3"/>
        <v>4.7500000000009095</v>
      </c>
      <c r="P32" s="50">
        <f t="shared" si="5"/>
        <v>1683.3333333374767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28165.760000000002</v>
      </c>
      <c r="G33" s="44">
        <f t="shared" si="0"/>
        <v>1515.760000000002</v>
      </c>
      <c r="H33" s="45">
        <f>F33/E33*100</f>
        <v>105.68765478424015</v>
      </c>
      <c r="I33" s="31">
        <f t="shared" si="1"/>
        <v>-7473.809999999998</v>
      </c>
      <c r="J33" s="31">
        <f t="shared" si="6"/>
        <v>79.02946079315772</v>
      </c>
      <c r="K33" s="18">
        <f>K34+K35+K36+K37+K38+K41+K42+K47+K48+K52+K40</f>
        <v>18407.070000000003</v>
      </c>
      <c r="L33" s="18"/>
      <c r="M33" s="18">
        <f>M34+M35+M36+M37+M38+M41+M42+M47+M48+M52+M40+M39</f>
        <v>6559.8</v>
      </c>
      <c r="N33" s="18">
        <f>N34+N35+N36+N37+N38+N41+N42+N47+N48+N52+N40+N39</f>
        <v>6558.410000000001</v>
      </c>
      <c r="O33" s="49">
        <f t="shared" si="3"/>
        <v>-1.389999999999418</v>
      </c>
      <c r="P33" s="31">
        <f>N33/M33*100</f>
        <v>99.97881032958323</v>
      </c>
      <c r="Q33" s="31">
        <f>N33-1017.63</f>
        <v>5540.780000000001</v>
      </c>
      <c r="R33" s="127">
        <f>N33/1017.63</f>
        <v>6.444788380845691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/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/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>F38/E38*100</f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/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7562.06</v>
      </c>
      <c r="G40" s="43"/>
      <c r="H40" s="35"/>
      <c r="I40" s="50">
        <f t="shared" si="1"/>
        <v>-1437.9399999999996</v>
      </c>
      <c r="J40" s="50"/>
      <c r="K40" s="50">
        <f>F40-0</f>
        <v>7562.06</v>
      </c>
      <c r="L40" s="50"/>
      <c r="M40" s="35">
        <f>E40-серпень!E40</f>
        <v>1000</v>
      </c>
      <c r="N40" s="35">
        <f>F40-серпень!F40</f>
        <v>790.0100000000002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>F41/E41*100</f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5694.14</v>
      </c>
      <c r="G42" s="43">
        <f t="shared" si="0"/>
        <v>-104.85999999999967</v>
      </c>
      <c r="H42" s="35">
        <f>F42/E42*100</f>
        <v>98.19175719951716</v>
      </c>
      <c r="I42" s="50">
        <f t="shared" si="1"/>
        <v>-1405.8599999999997</v>
      </c>
      <c r="J42" s="50">
        <f t="shared" si="6"/>
        <v>80.19915492957746</v>
      </c>
      <c r="K42" s="50">
        <f>F42-782.38</f>
        <v>4911.76</v>
      </c>
      <c r="L42" s="50">
        <f>F42/782.38*100</f>
        <v>727.7972340806258</v>
      </c>
      <c r="M42" s="35">
        <f>E42-серпень!E42</f>
        <v>604.3000000000002</v>
      </c>
      <c r="N42" s="35">
        <f>F42-серпень!F42</f>
        <v>472.71000000000004</v>
      </c>
      <c r="O42" s="47">
        <f t="shared" si="3"/>
        <v>-131.59000000000015</v>
      </c>
      <c r="P42" s="50">
        <f>N42/M42*100</f>
        <v>78.22439185834848</v>
      </c>
      <c r="Q42" s="50">
        <f>N42-79.51</f>
        <v>393.20000000000005</v>
      </c>
      <c r="R42" s="126">
        <f>N42/79.51</f>
        <v>5.945289900641429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797.35</v>
      </c>
      <c r="G43" s="135">
        <f t="shared" si="0"/>
        <v>-42.64999999999998</v>
      </c>
      <c r="H43" s="137">
        <f>F43/E43*100</f>
        <v>94.92261904761905</v>
      </c>
      <c r="I43" s="136">
        <f t="shared" si="1"/>
        <v>-302.65</v>
      </c>
      <c r="J43" s="136">
        <f t="shared" si="6"/>
        <v>72.48636363636363</v>
      </c>
      <c r="K43" s="136">
        <f>F43-687.25</f>
        <v>110.10000000000002</v>
      </c>
      <c r="L43" s="136">
        <f>F43/687.25*100</f>
        <v>116.02037104401602</v>
      </c>
      <c r="M43" s="35">
        <f>E43-серпень!E43</f>
        <v>80</v>
      </c>
      <c r="N43" s="35">
        <f>F43-серпень!F43</f>
        <v>62.22000000000003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/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4851.97</v>
      </c>
      <c r="G46" s="135">
        <f t="shared" si="0"/>
        <v>-46.029999999999745</v>
      </c>
      <c r="H46" s="137">
        <f>F46/E46*100</f>
        <v>99.06022866476113</v>
      </c>
      <c r="I46" s="136">
        <f t="shared" si="1"/>
        <v>-1066.0299999999997</v>
      </c>
      <c r="J46" s="136">
        <f t="shared" si="6"/>
        <v>81.98665089557284</v>
      </c>
      <c r="K46" s="136">
        <f>F46-95.13</f>
        <v>4756.84</v>
      </c>
      <c r="L46" s="136">
        <f>F46/95.13*100</f>
        <v>5100.357405655419</v>
      </c>
      <c r="M46" s="35">
        <f>E46-серпень!E46</f>
        <v>514</v>
      </c>
      <c r="N46" s="35">
        <f>F46-серпень!F46</f>
        <v>411.8600000000006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3563.79</v>
      </c>
      <c r="G48" s="43">
        <f t="shared" si="0"/>
        <v>473.78999999999996</v>
      </c>
      <c r="H48" s="35">
        <f>F48/E48*100</f>
        <v>115.33300970873785</v>
      </c>
      <c r="I48" s="50">
        <f t="shared" si="1"/>
        <v>-636.21</v>
      </c>
      <c r="J48" s="50">
        <f>F48/D48*100</f>
        <v>84.85214285714285</v>
      </c>
      <c r="K48" s="50">
        <f>F48-3093.83</f>
        <v>469.96000000000004</v>
      </c>
      <c r="L48" s="50">
        <f>F48/3093.83*100</f>
        <v>115.19023346467002</v>
      </c>
      <c r="M48" s="35">
        <f>E48-серпень!E48</f>
        <v>390</v>
      </c>
      <c r="N48" s="35">
        <f>F48-серпень!F48</f>
        <v>371.1399999999999</v>
      </c>
      <c r="O48" s="47">
        <f t="shared" si="3"/>
        <v>-18.860000000000127</v>
      </c>
      <c r="P48" s="50">
        <f aca="true" t="shared" si="7" ref="P48:P53">N48/M48*100</f>
        <v>95.16410256410252</v>
      </c>
      <c r="Q48" s="50">
        <f>N48-277.38</f>
        <v>93.75999999999988</v>
      </c>
      <c r="R48" s="126">
        <f>N48/277.38</f>
        <v>1.3380200447040158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978.7</v>
      </c>
      <c r="G51" s="135">
        <f t="shared" si="0"/>
        <v>978.7</v>
      </c>
      <c r="H51" s="137"/>
      <c r="I51" s="136">
        <f t="shared" si="1"/>
        <v>978.7</v>
      </c>
      <c r="J51" s="136"/>
      <c r="K51" s="219">
        <f>F51-758.38</f>
        <v>220.32000000000005</v>
      </c>
      <c r="L51" s="219">
        <f>F51/758.38*100</f>
        <v>129.05139903478468</v>
      </c>
      <c r="M51" s="35">
        <f>E51-серпень!E51</f>
        <v>0</v>
      </c>
      <c r="N51" s="35">
        <f>F51-серпень!F51</f>
        <v>88.10000000000002</v>
      </c>
      <c r="O51" s="138">
        <f t="shared" si="3"/>
        <v>88.10000000000002</v>
      </c>
      <c r="P51" s="136"/>
      <c r="Q51" s="50">
        <f>N51-64.93</f>
        <v>23.170000000000016</v>
      </c>
      <c r="R51" s="126">
        <f>N51/64.93</f>
        <v>1.3568458339750502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502626.05</v>
      </c>
      <c r="G55" s="44">
        <f>F55-E55</f>
        <v>17204.149999999965</v>
      </c>
      <c r="H55" s="45">
        <f>F55/E55*100</f>
        <v>103.54416436506058</v>
      </c>
      <c r="I55" s="31">
        <f>F55-D55</f>
        <v>-105329.01999999996</v>
      </c>
      <c r="J55" s="31">
        <f>F55/D55*100</f>
        <v>82.67486773323563</v>
      </c>
      <c r="K55" s="31">
        <f>K8+K33+K53+K54</f>
        <v>133863.246</v>
      </c>
      <c r="L55" s="31">
        <f>F55/(F55-K55)*100</f>
        <v>136.30063676378813</v>
      </c>
      <c r="M55" s="18">
        <f>M8+M33+M53+M54</f>
        <v>52238.399999999994</v>
      </c>
      <c r="N55" s="18">
        <f>N8+N33+N53+N54</f>
        <v>51491.86000000001</v>
      </c>
      <c r="O55" s="49">
        <f>N55-M55</f>
        <v>-746.5399999999863</v>
      </c>
      <c r="P55" s="31">
        <f>N55/M55*100</f>
        <v>98.57089803669335</v>
      </c>
      <c r="Q55" s="31">
        <f>N55-34768</f>
        <v>16723.860000000008</v>
      </c>
      <c r="R55" s="171">
        <f>N55/34768</f>
        <v>1.4810130004601936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8"/>
        <v>-1006.9</v>
      </c>
      <c r="H64" s="35"/>
      <c r="I64" s="53">
        <f t="shared" si="9"/>
        <v>-1906.9</v>
      </c>
      <c r="J64" s="53">
        <f t="shared" si="11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0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8"/>
        <v>-1474.5299999999997</v>
      </c>
      <c r="H65" s="35">
        <f>F65/E65*100</f>
        <v>73.0046355288018</v>
      </c>
      <c r="I65" s="53">
        <f t="shared" si="9"/>
        <v>-7588.37</v>
      </c>
      <c r="J65" s="53">
        <f t="shared" si="11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0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8"/>
        <v>674.28</v>
      </c>
      <c r="H66" s="35">
        <f>F66/E66*100</f>
        <v>156.91087103308575</v>
      </c>
      <c r="I66" s="53">
        <f t="shared" si="9"/>
        <v>-1140.92</v>
      </c>
      <c r="J66" s="53">
        <f t="shared" si="11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0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8"/>
        <v>-1807.1499999999987</v>
      </c>
      <c r="H67" s="65">
        <f>F67/E67*100</f>
        <v>78.08707693501606</v>
      </c>
      <c r="I67" s="54">
        <f t="shared" si="9"/>
        <v>-10636.189999999999</v>
      </c>
      <c r="J67" s="54">
        <f t="shared" si="11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0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8"/>
        <v>-24.65</v>
      </c>
      <c r="H68" s="35"/>
      <c r="I68" s="53">
        <f t="shared" si="9"/>
        <v>-34.65</v>
      </c>
      <c r="J68" s="53">
        <f t="shared" si="11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0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F70-1.08</f>
        <v>-0.20000000000000007</v>
      </c>
      <c r="L70" s="53">
        <f>F70/1.08*100</f>
        <v>81.48148148148148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1.23</v>
      </c>
      <c r="G71" s="55">
        <f>F71-E71</f>
        <v>-35.77</v>
      </c>
      <c r="H71" s="65"/>
      <c r="I71" s="54">
        <f>F71-D71</f>
        <v>-52.77</v>
      </c>
      <c r="J71" s="54">
        <f>F71/D71*100</f>
        <v>2.2777777777777777</v>
      </c>
      <c r="K71" s="54">
        <f>K68+K69+K70</f>
        <v>-43.5</v>
      </c>
      <c r="L71" s="54"/>
      <c r="M71" s="55">
        <f>M68+M70+M69</f>
        <v>10</v>
      </c>
      <c r="N71" s="55">
        <f>N68+N70+N69</f>
        <v>0.16999999999999998</v>
      </c>
      <c r="O71" s="54">
        <f>N71-M71</f>
        <v>-9.83</v>
      </c>
      <c r="P71" s="54"/>
      <c r="Q71" s="54">
        <f>N71-26.38</f>
        <v>-26.209999999999997</v>
      </c>
      <c r="R71" s="128">
        <f>N71/26.38</f>
        <v>0.006444275966641395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26.86</v>
      </c>
      <c r="G72" s="43">
        <f>F72-E72</f>
        <v>-5.359999999999999</v>
      </c>
      <c r="H72" s="35">
        <f>F72/E72*100</f>
        <v>83.36436995654873</v>
      </c>
      <c r="I72" s="53">
        <f>F72-D72</f>
        <v>-15.14</v>
      </c>
      <c r="J72" s="53">
        <f>F72/D72*100</f>
        <v>63.95238095238095</v>
      </c>
      <c r="K72" s="53">
        <f>F72-31.86</f>
        <v>-5</v>
      </c>
      <c r="L72" s="53">
        <f>F72/31.86*100</f>
        <v>84.30634023854363</v>
      </c>
      <c r="M72" s="35">
        <f>E72-серпень!E72</f>
        <v>9</v>
      </c>
      <c r="N72" s="35">
        <f>F72-серпень!F72</f>
        <v>5.800000000000001</v>
      </c>
      <c r="O72" s="47">
        <f>N72-M72</f>
        <v>-3.1999999999999993</v>
      </c>
      <c r="P72" s="53">
        <f>N72/M72*100</f>
        <v>64.44444444444444</v>
      </c>
      <c r="Q72" s="53">
        <f>N72-0.45</f>
        <v>5.3500000000000005</v>
      </c>
      <c r="R72" s="129">
        <f>N72/0.45</f>
        <v>12.88888888888889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6416.4</v>
      </c>
      <c r="G74" s="44">
        <f>F74-E74</f>
        <v>-1899.7799999999988</v>
      </c>
      <c r="H74" s="45">
        <f>F74/E74*100</f>
        <v>77.15561712228453</v>
      </c>
      <c r="I74" s="31">
        <f>F74-D74</f>
        <v>-10755.6</v>
      </c>
      <c r="J74" s="31">
        <f>F74/D74*100</f>
        <v>37.3654786862334</v>
      </c>
      <c r="K74" s="31">
        <f>K62+K67+K71+K72</f>
        <v>879.57</v>
      </c>
      <c r="L74" s="31"/>
      <c r="M74" s="27">
        <f>M62+M72+M67+M71</f>
        <v>1495.8200000000002</v>
      </c>
      <c r="N74" s="27">
        <f>N62+N72+N67+N71+N73</f>
        <v>252.97000000000008</v>
      </c>
      <c r="O74" s="31">
        <f>N74-M74</f>
        <v>-1242.8500000000001</v>
      </c>
      <c r="P74" s="31">
        <f>N74/M74*100</f>
        <v>16.911794199836883</v>
      </c>
      <c r="Q74" s="31">
        <f>N74-8104.96</f>
        <v>-7851.99</v>
      </c>
      <c r="R74" s="127">
        <f>N74/8104.96</f>
        <v>0.031211751816171834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509042.45</v>
      </c>
      <c r="G75" s="44">
        <f>F75-E75</f>
        <v>15304.369999999995</v>
      </c>
      <c r="H75" s="45">
        <f>F75/E75*100</f>
        <v>103.09969407261437</v>
      </c>
      <c r="I75" s="31">
        <f>F75-D75</f>
        <v>-116084.61999999994</v>
      </c>
      <c r="J75" s="31">
        <f>F75/D75*100</f>
        <v>81.43023625580636</v>
      </c>
      <c r="K75" s="31">
        <f>K55+K74</f>
        <v>134742.81600000002</v>
      </c>
      <c r="L75" s="31">
        <f>F75/(F75-K75)*100</f>
        <v>135.99865021508413</v>
      </c>
      <c r="M75" s="18">
        <f>M55+M74</f>
        <v>53734.219999999994</v>
      </c>
      <c r="N75" s="18">
        <f>N55+N74</f>
        <v>51744.83000000001</v>
      </c>
      <c r="O75" s="31">
        <f>N75-M75</f>
        <v>-1989.3899999999849</v>
      </c>
      <c r="P75" s="31">
        <f>N75/M75*100</f>
        <v>96.2977223824967</v>
      </c>
      <c r="Q75" s="31">
        <f>N75-42872.96</f>
        <v>8871.87000000001</v>
      </c>
      <c r="R75" s="127">
        <f>N75/42872.96</f>
        <v>1.206933927585126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</v>
      </c>
      <c r="D77" s="4" t="s">
        <v>118</v>
      </c>
    </row>
    <row r="78" spans="2:17" ht="31.5">
      <c r="B78" s="71" t="s">
        <v>154</v>
      </c>
      <c r="C78" s="34">
        <f>IF(O55&lt;0,ABS(O55/C77),0)</f>
        <v>746.5399999999863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42276</v>
      </c>
      <c r="D79" s="34">
        <v>6511.1</v>
      </c>
      <c r="G79" s="4" t="s">
        <v>166</v>
      </c>
      <c r="N79" s="252"/>
      <c r="O79" s="252"/>
    </row>
    <row r="80" spans="3:15" ht="15.75">
      <c r="C80" s="111">
        <v>42275</v>
      </c>
      <c r="D80" s="34">
        <v>4229.6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42272</v>
      </c>
      <c r="D81" s="34">
        <v>2375.2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79.84628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9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0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2015-09-29T12:13:37Z</cp:lastPrinted>
  <dcterms:created xsi:type="dcterms:W3CDTF">2003-07-28T11:27:56Z</dcterms:created>
  <dcterms:modified xsi:type="dcterms:W3CDTF">2015-09-30T08:18:35Z</dcterms:modified>
  <cp:category/>
  <cp:version/>
  <cp:contentType/>
  <cp:contentStatus/>
</cp:coreProperties>
</file>